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<sst xmlns="http://schemas.openxmlformats.org/spreadsheetml/2006/main" count="156" uniqueCount="111">
  <si>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</si>
  <si>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</si>
  <si>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</si>
  <si>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</si>
  <si>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</si>
  <si>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</si>
  <si>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</si>
  <si>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</si>
  <si>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</si>
  <si>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</si>
  <si>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</si>
  <si>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</si>
  <si>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</si>
  <si>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</si>
  <si>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</si>
  <si>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</si>
  <si>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</si>
  <si>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</si>
  <si>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</si>
  <si>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</si>
  <si>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</si>
  <si>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</si>
  <si>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</si>
  <si>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</si>
  <si>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</si>
  <si>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</si>
  <si>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</si>
  <si>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</si>
  <si>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</si>
  <si>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</si>
  <si>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</si>
  <si>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</si>
  <si>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</si>
  <si>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</si>
  <si>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</si>
  <si>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</si>
  <si>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</si>
  <si>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</si>
  <si>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</si>
  <si>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</si>
  <si>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</si>
  <si>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</si>
  <si>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</si>
  <si>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</si>
  <si>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</si>
  <si>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</si>
  <si>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</si>
  <si>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</si>
  <si>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</si>
  <si>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</si>
  <si>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</si>
  <si>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</si>
  <si>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</si>
  <si>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</si>
  <si>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</si>
  <si>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</si>
  <si>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</si>
  <si>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</si>
  <si>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</si>
  <si>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</si>
  <si>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</si>
  <si>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</si>
  <si>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</si>
  <si>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</si>
  <si>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</si>
  <si>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</si>
  <si>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</si>
  <si>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</si>
  <si>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</si>
  <si>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</si>
  <si>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</si>
  <si>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</si>
  <si>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</si>
  <si>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</si>
  <si>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</si>
  <si>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</si>
  <si>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</si>
  <si>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</si>
  <si>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</si>
  <si>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</si>
  <si>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</si>
  <si>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</si>
  <si>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</si>
  <si>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</si>
  <si>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</si>
  <si>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</si>
  <si>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</si>
  <si>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</si>
  <si>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</si>
  <si>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</si>
  <si>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</si>
  <si>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</si>
  <si>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</si>
  <si>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</si>
  <si>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</si>
  <si>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</si>
  <si>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</si>
  <si>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</si>
  <si>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</si>
  <si>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</si>
  <si>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</si>
  <si>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</si>
  <si>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</si>
  <si>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</si>
  <si>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</si>
  <si>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</si>
  <si>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</si>
  <si>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</si>
  <si>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</si>
  <si>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</si>
  <si>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2014 рік станом на 26.05.2014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</si>
</sst>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16128.3</c:v>
                </c:pt>
                <c:pt idx="1">
                  <c:v>13606.699999999999</c:v>
                </c:pt>
                <c:pt idx="2">
                  <c:v>960.3</c:v>
                </c:pt>
                <c:pt idx="3">
                  <c:v>1561.3000000000004</c:v>
                </c:pt>
              </c:numCache>
            </c:numRef>
          </c:val>
          <c:shape val="box"/>
        </c:ser>
        <c:shape val="box"/>
        <c:axId val="31571891"/>
        <c:axId val="15711564"/>
      </c:bar3DChart>
      <c:catAx>
        <c:axId val="3157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711564"/>
        <c:crosses val="autoZero"/>
        <c:auto val="1"/>
        <c:lblOffset val="100"/>
        <c:tickLblSkip val="1"/>
        <c:noMultiLvlLbl val="0"/>
      </c:catAx>
      <c:valAx>
        <c:axId val="15711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718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104237.1</c:v>
                </c:pt>
                <c:pt idx="1">
                  <c:v>81582.7</c:v>
                </c:pt>
                <c:pt idx="2">
                  <c:v>7.200000000000001</c:v>
                </c:pt>
                <c:pt idx="3">
                  <c:v>7171.200000000001</c:v>
                </c:pt>
                <c:pt idx="4">
                  <c:v>15147.699999999999</c:v>
                </c:pt>
                <c:pt idx="5">
                  <c:v>47.2</c:v>
                </c:pt>
                <c:pt idx="6">
                  <c:v>281.1000000000084</c:v>
                </c:pt>
              </c:numCache>
            </c:numRef>
          </c:val>
          <c:shape val="box"/>
        </c:ser>
        <c:shape val="box"/>
        <c:axId val="7186349"/>
        <c:axId val="64677142"/>
      </c:bar3DChart>
      <c:catAx>
        <c:axId val="718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77142"/>
        <c:crosses val="autoZero"/>
        <c:auto val="1"/>
        <c:lblOffset val="100"/>
        <c:tickLblSkip val="1"/>
        <c:noMultiLvlLbl val="0"/>
      </c:catAx>
      <c:valAx>
        <c:axId val="64677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863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69071.8</c:v>
                </c:pt>
                <c:pt idx="1">
                  <c:v>54990.59999999999</c:v>
                </c:pt>
                <c:pt idx="2">
                  <c:v>1624.9999999999998</c:v>
                </c:pt>
                <c:pt idx="3">
                  <c:v>876.9</c:v>
                </c:pt>
                <c:pt idx="4">
                  <c:v>6464.200000000001</c:v>
                </c:pt>
                <c:pt idx="5">
                  <c:v>598.6999999999999</c:v>
                </c:pt>
                <c:pt idx="6">
                  <c:v>4516.4000000000115</c:v>
                </c:pt>
              </c:numCache>
            </c:numRef>
          </c:val>
          <c:shape val="box"/>
        </c:ser>
        <c:shape val="box"/>
        <c:axId val="45223367"/>
        <c:axId val="4357120"/>
      </c:bar3DChart>
      <c:catAx>
        <c:axId val="45223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7120"/>
        <c:crosses val="autoZero"/>
        <c:auto val="1"/>
        <c:lblOffset val="100"/>
        <c:tickLblSkip val="1"/>
        <c:noMultiLvlLbl val="0"/>
      </c:catAx>
      <c:valAx>
        <c:axId val="4357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233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1732.8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13352.700000000003</c:v>
                </c:pt>
                <c:pt idx="1">
                  <c:v>10020.9</c:v>
                </c:pt>
                <c:pt idx="2">
                  <c:v>610</c:v>
                </c:pt>
                <c:pt idx="3">
                  <c:v>170.1</c:v>
                </c:pt>
                <c:pt idx="4">
                  <c:v>14.4</c:v>
                </c:pt>
                <c:pt idx="5">
                  <c:v>2537.300000000003</c:v>
                </c:pt>
              </c:numCache>
            </c:numRef>
          </c:val>
          <c:shape val="box"/>
        </c:ser>
        <c:shape val="box"/>
        <c:axId val="39214081"/>
        <c:axId val="17382410"/>
      </c:bar3DChart>
      <c:catAx>
        <c:axId val="39214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82410"/>
        <c:crosses val="autoZero"/>
        <c:auto val="1"/>
        <c:lblOffset val="100"/>
        <c:tickLblSkip val="1"/>
        <c:noMultiLvlLbl val="0"/>
      </c:catAx>
      <c:valAx>
        <c:axId val="17382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140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4318</c:v>
                </c:pt>
                <c:pt idx="1">
                  <c:v>2797.1</c:v>
                </c:pt>
                <c:pt idx="3">
                  <c:v>51.300000000000004</c:v>
                </c:pt>
                <c:pt idx="4">
                  <c:v>201.29999999999995</c:v>
                </c:pt>
                <c:pt idx="5">
                  <c:v>1268.3000000000002</c:v>
                </c:pt>
              </c:numCache>
            </c:numRef>
          </c:val>
          <c:shape val="box"/>
        </c:ser>
        <c:shape val="box"/>
        <c:axId val="22223963"/>
        <c:axId val="65797940"/>
      </c:bar3DChart>
      <c:catAx>
        <c:axId val="2222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97940"/>
        <c:crosses val="autoZero"/>
        <c:auto val="1"/>
        <c:lblOffset val="100"/>
        <c:tickLblSkip val="2"/>
        <c:noMultiLvlLbl val="0"/>
      </c:catAx>
      <c:valAx>
        <c:axId val="65797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239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3018.8</c:v>
                </c:pt>
                <c:pt idx="1">
                  <c:v>1702</c:v>
                </c:pt>
                <c:pt idx="2">
                  <c:v>287.9</c:v>
                </c:pt>
                <c:pt idx="3">
                  <c:v>728.7</c:v>
                </c:pt>
                <c:pt idx="4">
                  <c:v>300.20000000000005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947.0000000000001</c:v>
                </c:pt>
                <c:pt idx="1">
                  <c:v>756.6</c:v>
                </c:pt>
                <c:pt idx="2">
                  <c:v>119.5</c:v>
                </c:pt>
                <c:pt idx="4">
                  <c:v>70.90000000000009</c:v>
                </c:pt>
              </c:numCache>
            </c:numRef>
          </c:val>
          <c:shape val="box"/>
        </c:ser>
        <c:shape val="box"/>
        <c:axId val="55310549"/>
        <c:axId val="28032894"/>
      </c:bar3DChart>
      <c:catAx>
        <c:axId val="55310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32894"/>
        <c:crosses val="autoZero"/>
        <c:auto val="1"/>
        <c:lblOffset val="100"/>
        <c:tickLblSkip val="1"/>
        <c:noMultiLvlLbl val="0"/>
      </c:catAx>
      <c:valAx>
        <c:axId val="28032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105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13102.100000000002</c:v>
                </c:pt>
              </c:numCache>
            </c:numRef>
          </c:val>
          <c:shape val="box"/>
        </c:ser>
        <c:shape val="box"/>
        <c:axId val="50969455"/>
        <c:axId val="56071912"/>
      </c:bar3DChart>
      <c:catAx>
        <c:axId val="5096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071912"/>
        <c:crosses val="autoZero"/>
        <c:auto val="1"/>
        <c:lblOffset val="100"/>
        <c:tickLblSkip val="1"/>
        <c:noMultiLvlLbl val="0"/>
      </c:catAx>
      <c:valAx>
        <c:axId val="56071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694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104237.1</c:v>
                </c:pt>
                <c:pt idx="1">
                  <c:v>69071.8</c:v>
                </c:pt>
                <c:pt idx="2">
                  <c:v>13352.700000000003</c:v>
                </c:pt>
                <c:pt idx="3">
                  <c:v>4318</c:v>
                </c:pt>
                <c:pt idx="4">
                  <c:v>947.0000000000001</c:v>
                </c:pt>
                <c:pt idx="5">
                  <c:v>16128.3</c:v>
                </c:pt>
                <c:pt idx="6">
                  <c:v>13102.100000000002</c:v>
                </c:pt>
              </c:numCache>
            </c:numRef>
          </c:val>
          <c:shape val="box"/>
        </c:ser>
        <c:shape val="box"/>
        <c:axId val="34885161"/>
        <c:axId val="45530994"/>
      </c:bar3DChart>
      <c:catAx>
        <c:axId val="3488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30994"/>
        <c:crosses val="autoZero"/>
        <c:auto val="1"/>
        <c:lblOffset val="100"/>
        <c:tickLblSkip val="1"/>
        <c:noMultiLvlLbl val="0"/>
      </c:catAx>
      <c:valAx>
        <c:axId val="45530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851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64923.3</c:v>
                </c:pt>
                <c:pt idx="2">
                  <c:v>20321.6</c:v>
                </c:pt>
                <c:pt idx="3">
                  <c:v>8015.1</c:v>
                </c:pt>
                <c:pt idx="4">
                  <c:v>7873.900000000001</c:v>
                </c:pt>
                <c:pt idx="5">
                  <c:v>92768.1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165935.7</c:v>
                </c:pt>
                <c:pt idx="1">
                  <c:v>23978.999999999996</c:v>
                </c:pt>
                <c:pt idx="2">
                  <c:v>8125.900000000001</c:v>
                </c:pt>
                <c:pt idx="3">
                  <c:v>2812.3000000000006</c:v>
                </c:pt>
                <c:pt idx="4">
                  <c:v>1632.1999999999998</c:v>
                </c:pt>
                <c:pt idx="5">
                  <c:v>29067.499999999993</c:v>
                </c:pt>
              </c:numCache>
            </c:numRef>
          </c:val>
          <c:shape val="box"/>
        </c:ser>
        <c:shape val="box"/>
        <c:axId val="7125763"/>
        <c:axId val="64131868"/>
      </c:bar3DChart>
      <c:catAx>
        <c:axId val="7125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31868"/>
        <c:crosses val="autoZero"/>
        <c:auto val="1"/>
        <c:lblOffset val="100"/>
        <c:tickLblSkip val="1"/>
        <c:noMultiLvlLbl val="0"/>
      </c:catAx>
      <c:valAx>
        <c:axId val="64131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257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107</v>
      </c>
      <c r="C3" s="122" t="s">
        <v>102</v>
      </c>
      <c r="D3" s="122" t="s">
        <v>29</v>
      </c>
      <c r="E3" s="122" t="s">
        <v>28</v>
      </c>
      <c r="F3" s="122" t="s">
        <v>108</v>
      </c>
      <c r="G3" s="122" t="s">
        <v>103</v>
      </c>
      <c r="H3" s="122" t="s">
        <v>109</v>
      </c>
      <c r="I3" s="122" t="s">
        <v>104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39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v>139860.1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</f>
        <v>104644.20000000001</v>
      </c>
      <c r="E6" s="3">
        <f>D6/D134*100</f>
        <v>44.826138621325995</v>
      </c>
      <c r="F6" s="3">
        <f>D6/B6*100</f>
        <v>74.82062432387794</v>
      </c>
      <c r="G6" s="3">
        <f aca="true" t="shared" si="0" ref="G6:G41">D6/C6*100</f>
        <v>38.141451576807256</v>
      </c>
      <c r="H6" s="3">
        <f>B6-D6</f>
        <v>35215.899999999994</v>
      </c>
      <c r="I6" s="3">
        <f aca="true" t="shared" si="1" ref="I6:I41">C6-D6</f>
        <v>169714</v>
      </c>
    </row>
    <row r="7" spans="1:9" ht="18">
      <c r="A7" s="31" t="s">
        <v>3</v>
      </c>
      <c r="B7" s="52">
        <v>106245.6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</f>
        <v>81582.7</v>
      </c>
      <c r="E7" s="1">
        <f>D7/D6*100</f>
        <v>77.96198929324318</v>
      </c>
      <c r="F7" s="1">
        <f>D7/B7*100</f>
        <v>76.78689752799174</v>
      </c>
      <c r="G7" s="1">
        <f t="shared" si="0"/>
        <v>37.90924294150748</v>
      </c>
      <c r="H7" s="1">
        <f>B7-D7</f>
        <v>24662.90000000001</v>
      </c>
      <c r="I7" s="1">
        <f t="shared" si="1"/>
        <v>133622.60000000003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0.1+0.1+0.3+0.3+2.7+0.7+1.1+1.4+0.5+0.7</f>
        <v>7.900000000000001</v>
      </c>
      <c r="E8" s="13">
        <f>D8/D6*100</f>
        <v>0.007549391175048402</v>
      </c>
      <c r="F8" s="1">
        <f>D8/B8*100</f>
        <v>33.76068376068377</v>
      </c>
      <c r="G8" s="1">
        <f t="shared" si="0"/>
        <v>17.713004484304935</v>
      </c>
      <c r="H8" s="1">
        <f aca="true" t="shared" si="2" ref="H8:H30">B8-D8</f>
        <v>15.499999999999996</v>
      </c>
      <c r="I8" s="1">
        <f t="shared" si="1"/>
        <v>36.7</v>
      </c>
    </row>
    <row r="9" spans="1:9" ht="18">
      <c r="A9" s="31" t="s">
        <v>1</v>
      </c>
      <c r="B9" s="52">
        <v>8162.7</v>
      </c>
      <c r="C9" s="53">
        <v>17103.7</v>
      </c>
      <c r="D9" s="58">
        <f>538.7+346.9+429.4+56.3+419.6+508.1+71-0.1+453.2+98.5+2.8+391.5+199.8+80.8+202.8+35.8+0.1+605.8+190.7+96.5+200+176+997.3+131.2+243.2+104+591.3+99.4+217.4</f>
        <v>7488</v>
      </c>
      <c r="E9" s="1">
        <f>D9/D6*100</f>
        <v>7.1556760909825865</v>
      </c>
      <c r="F9" s="1">
        <f aca="true" t="shared" si="3" ref="F9:F39">D9/B9*100</f>
        <v>91.73435260391783</v>
      </c>
      <c r="G9" s="1">
        <f t="shared" si="0"/>
        <v>43.780000818536344</v>
      </c>
      <c r="H9" s="1">
        <f t="shared" si="2"/>
        <v>674.6999999999998</v>
      </c>
      <c r="I9" s="1">
        <f t="shared" si="1"/>
        <v>9615.7</v>
      </c>
    </row>
    <row r="10" spans="1:9" ht="18">
      <c r="A10" s="31" t="s">
        <v>0</v>
      </c>
      <c r="B10" s="52">
        <v>24290.4</v>
      </c>
      <c r="C10" s="53">
        <v>39445.5</v>
      </c>
      <c r="D10" s="59">
        <f>1.1+76.7+36.7+34.9+18.5+42.2+88.1+82.5+80.9+400.1+1837.5+2957.3+365.3+150+4041.5+622.1+388.9+504.4+104+339.4+307.4+873.2+298.8+1030.7+5.1+301.4+159+4.7+44.9</f>
        <v>15197.3</v>
      </c>
      <c r="E10" s="1">
        <f>D10/D6*100</f>
        <v>14.522830696780135</v>
      </c>
      <c r="F10" s="1">
        <f t="shared" si="3"/>
        <v>62.56504627342488</v>
      </c>
      <c r="G10" s="1">
        <f t="shared" si="0"/>
        <v>38.52733518398803</v>
      </c>
      <c r="H10" s="1">
        <f t="shared" si="2"/>
        <v>9093.100000000002</v>
      </c>
      <c r="I10" s="1">
        <f t="shared" si="1"/>
        <v>24248.2</v>
      </c>
    </row>
    <row r="11" spans="1:9" ht="18">
      <c r="A11" s="31" t="s">
        <v>15</v>
      </c>
      <c r="B11" s="52">
        <v>195.9</v>
      </c>
      <c r="C11" s="53">
        <v>281.8</v>
      </c>
      <c r="D11" s="54">
        <f>4+4+12.7+4+4+14.5+4</f>
        <v>47.2</v>
      </c>
      <c r="E11" s="1">
        <f>D11/D6*100</f>
        <v>0.045105223223074</v>
      </c>
      <c r="F11" s="1">
        <f t="shared" si="3"/>
        <v>24.093925472179684</v>
      </c>
      <c r="G11" s="1">
        <f t="shared" si="0"/>
        <v>16.749467707594036</v>
      </c>
      <c r="H11" s="1">
        <f t="shared" si="2"/>
        <v>148.7</v>
      </c>
      <c r="I11" s="1">
        <f t="shared" si="1"/>
        <v>234.60000000000002</v>
      </c>
    </row>
    <row r="12" spans="1:9" ht="18.75" thickBot="1">
      <c r="A12" s="31" t="s">
        <v>35</v>
      </c>
      <c r="B12" s="53">
        <f>B6-B7-B8-B9-B10-B11</f>
        <v>942.0999999999964</v>
      </c>
      <c r="C12" s="53">
        <f>C6-C7-C8-C9-C10-C11</f>
        <v>2277.299999999991</v>
      </c>
      <c r="D12" s="53">
        <f>D6-D7-D8-D9-D10-D11</f>
        <v>321.10000000001384</v>
      </c>
      <c r="E12" s="1">
        <f>D12/D6*100</f>
        <v>0.3068493045959679</v>
      </c>
      <c r="F12" s="1">
        <f t="shared" si="3"/>
        <v>34.08343063369229</v>
      </c>
      <c r="G12" s="1">
        <f t="shared" si="0"/>
        <v>14.100030738155494</v>
      </c>
      <c r="H12" s="1">
        <f t="shared" si="2"/>
        <v>620.9999999999825</v>
      </c>
      <c r="I12" s="1">
        <f t="shared" si="1"/>
        <v>1956.1999999999773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f>86527.4+116.8</f>
        <v>86644.2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</f>
        <v>69559.20000000001</v>
      </c>
      <c r="E17" s="3">
        <f>D17/D134*100</f>
        <v>29.79687686071984</v>
      </c>
      <c r="F17" s="3">
        <f>D17/B17*100</f>
        <v>80.28142680063988</v>
      </c>
      <c r="G17" s="3">
        <f t="shared" si="0"/>
        <v>39.129268140387715</v>
      </c>
      <c r="H17" s="3">
        <f>B17-D17</f>
        <v>17084.999999999985</v>
      </c>
      <c r="I17" s="3">
        <f t="shared" si="1"/>
        <v>108208.5</v>
      </c>
    </row>
    <row r="18" spans="1:9" ht="18">
      <c r="A18" s="31" t="s">
        <v>5</v>
      </c>
      <c r="B18" s="52">
        <v>65031.2</v>
      </c>
      <c r="C18" s="53">
        <f>133077.8+325.7</f>
        <v>133403.5</v>
      </c>
      <c r="D18" s="54">
        <f>5127.2+6545.1+310.1+0.1+5190.4+6767.1+5380.4+556.1+6698.2+26.3+5454.2+14.7+1807.4+5633.7-0.1+5479.7</f>
        <v>54990.59999999999</v>
      </c>
      <c r="E18" s="1">
        <f>D18/D17*100</f>
        <v>79.05582582893418</v>
      </c>
      <c r="F18" s="1">
        <f t="shared" si="3"/>
        <v>84.56033411654712</v>
      </c>
      <c r="G18" s="1">
        <f t="shared" si="0"/>
        <v>41.221257313338846</v>
      </c>
      <c r="H18" s="1">
        <f t="shared" si="2"/>
        <v>10040.600000000006</v>
      </c>
      <c r="I18" s="1">
        <f t="shared" si="1"/>
        <v>78412.90000000001</v>
      </c>
    </row>
    <row r="19" spans="1:9" ht="18">
      <c r="A19" s="31" t="s">
        <v>2</v>
      </c>
      <c r="B19" s="52">
        <f>3528.4-43.4</f>
        <v>3485</v>
      </c>
      <c r="C19" s="53">
        <f>7565.3-5.5+258.8</f>
        <v>7818.6</v>
      </c>
      <c r="D19" s="54">
        <f>15+99.7+173.8+0.6+107.5+22.1+0.5+193.8+202.2+7.6+0.9+0.4+198.3+0.9+0.9+95.5+0.1+279.3+38.4+83.3+46.9+46.6+4.1+6.6+39.1</f>
        <v>1664.0999999999997</v>
      </c>
      <c r="E19" s="1">
        <f>D19/D17*100</f>
        <v>2.39235068833454</v>
      </c>
      <c r="F19" s="1">
        <f t="shared" si="3"/>
        <v>47.75035868005738</v>
      </c>
      <c r="G19" s="1">
        <f t="shared" si="0"/>
        <v>21.28386156089325</v>
      </c>
      <c r="H19" s="1">
        <f t="shared" si="2"/>
        <v>1820.9000000000003</v>
      </c>
      <c r="I19" s="1">
        <f t="shared" si="1"/>
        <v>6154.500000000001</v>
      </c>
    </row>
    <row r="20" spans="1:9" ht="18">
      <c r="A20" s="31" t="s">
        <v>1</v>
      </c>
      <c r="B20" s="52">
        <v>1129.8</v>
      </c>
      <c r="C20" s="53">
        <v>2836.6</v>
      </c>
      <c r="D20" s="54">
        <f>50.7+162.6+43.4+2.3+47.2+1.8+59.1-0.1+62.8+64.5+13.9+16.6+5.7+70.4+205+17+53.6+0.4+52.9</f>
        <v>929.8</v>
      </c>
      <c r="E20" s="1">
        <f>D20/D17*100</f>
        <v>1.3367031248202967</v>
      </c>
      <c r="F20" s="1">
        <f t="shared" si="3"/>
        <v>82.29775181448043</v>
      </c>
      <c r="G20" s="1">
        <f t="shared" si="0"/>
        <v>32.77867869985194</v>
      </c>
      <c r="H20" s="1">
        <f t="shared" si="2"/>
        <v>200</v>
      </c>
      <c r="I20" s="1">
        <f t="shared" si="1"/>
        <v>1906.8</v>
      </c>
    </row>
    <row r="21" spans="1:9" ht="18">
      <c r="A21" s="31" t="s">
        <v>0</v>
      </c>
      <c r="B21" s="52">
        <f>9059.8+31.9</f>
        <v>9091.699999999999</v>
      </c>
      <c r="C21" s="53">
        <f>19349.6+4</f>
        <v>19353.6</v>
      </c>
      <c r="D21" s="54">
        <f>36.6+15.7+3.3+2+290.1+4.1+24.2+41.8-0.1+460.8+0.9+2.5+257.9+361.7+1303.2+901+0.2+255.3+105.4+1050+1256.6+91+115.9+147.7</f>
        <v>6727.8</v>
      </c>
      <c r="E21" s="1">
        <f>D21/D17*100</f>
        <v>9.672049132249938</v>
      </c>
      <c r="F21" s="1">
        <f t="shared" si="3"/>
        <v>73.99936205550118</v>
      </c>
      <c r="G21" s="1">
        <f t="shared" si="0"/>
        <v>34.76252480158731</v>
      </c>
      <c r="H21" s="1">
        <f t="shared" si="2"/>
        <v>2363.8999999999987</v>
      </c>
      <c r="I21" s="1">
        <f t="shared" si="1"/>
        <v>12625.8</v>
      </c>
    </row>
    <row r="22" spans="1:9" ht="18">
      <c r="A22" s="31" t="s">
        <v>15</v>
      </c>
      <c r="B22" s="52">
        <f>615.7+8.9</f>
        <v>624.6</v>
      </c>
      <c r="C22" s="53">
        <v>1388.5</v>
      </c>
      <c r="D22" s="54">
        <f>14.2+80.1+19.7+105+3.5+1.3+30+84.1+0.1+72.2+54.8+15.1+59.3+59.3</f>
        <v>598.6999999999999</v>
      </c>
      <c r="E22" s="1">
        <f>D22/D17*100</f>
        <v>0.86070570104314</v>
      </c>
      <c r="F22" s="1">
        <f t="shared" si="3"/>
        <v>95.85334614153057</v>
      </c>
      <c r="G22" s="1">
        <f t="shared" si="0"/>
        <v>43.118473172488294</v>
      </c>
      <c r="H22" s="1">
        <f t="shared" si="2"/>
        <v>25.90000000000009</v>
      </c>
      <c r="I22" s="1">
        <f t="shared" si="1"/>
        <v>789.8000000000001</v>
      </c>
    </row>
    <row r="23" spans="1:9" ht="18.75" thickBot="1">
      <c r="A23" s="31" t="s">
        <v>35</v>
      </c>
      <c r="B23" s="53">
        <f>B17-B18-B19-B20-B21-B22</f>
        <v>7281.9000000000015</v>
      </c>
      <c r="C23" s="53">
        <f>C17-C18-C19-C20-C21-C22</f>
        <v>12966.900000000016</v>
      </c>
      <c r="D23" s="53">
        <f>D17-D18-D19-D20-D21-D22</f>
        <v>4648.200000000021</v>
      </c>
      <c r="E23" s="1">
        <f>D23/D17*100</f>
        <v>6.682365524617909</v>
      </c>
      <c r="F23" s="1">
        <f t="shared" si="3"/>
        <v>63.83224158530081</v>
      </c>
      <c r="G23" s="1">
        <f t="shared" si="0"/>
        <v>35.84665571570703</v>
      </c>
      <c r="H23" s="1">
        <f t="shared" si="2"/>
        <v>2633.6999999999807</v>
      </c>
      <c r="I23" s="1">
        <f t="shared" si="1"/>
        <v>8318.699999999995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16231.9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</f>
        <v>13387.600000000002</v>
      </c>
      <c r="E31" s="3">
        <f>D31/D134*100</f>
        <v>5.734808172902692</v>
      </c>
      <c r="F31" s="3">
        <f>D31/B31*100</f>
        <v>82.47709756713634</v>
      </c>
      <c r="G31" s="3">
        <f t="shared" si="0"/>
        <v>35.67572177008885</v>
      </c>
      <c r="H31" s="3">
        <f aca="true" t="shared" si="4" ref="H31:H41">B31-D31</f>
        <v>2844.2999999999975</v>
      </c>
      <c r="I31" s="3">
        <f t="shared" si="1"/>
        <v>24138.2</v>
      </c>
    </row>
    <row r="32" spans="1:9" ht="18">
      <c r="A32" s="31" t="s">
        <v>3</v>
      </c>
      <c r="B32" s="52">
        <v>11474.5</v>
      </c>
      <c r="C32" s="53">
        <f>28976.1-761.1</f>
        <v>28215</v>
      </c>
      <c r="D32" s="54">
        <f>1119.5+1121.1+1039.4+104.2+1079.5+1133.4+1048+1163.9+1081.6+1130.3</f>
        <v>10020.9</v>
      </c>
      <c r="E32" s="1">
        <f>D32/D31*100</f>
        <v>74.85210194508349</v>
      </c>
      <c r="F32" s="1">
        <f t="shared" si="3"/>
        <v>87.33190988714105</v>
      </c>
      <c r="G32" s="1">
        <f t="shared" si="0"/>
        <v>35.516214779372675</v>
      </c>
      <c r="H32" s="1">
        <f t="shared" si="4"/>
        <v>1453.6000000000004</v>
      </c>
      <c r="I32" s="1">
        <f t="shared" si="1"/>
        <v>18194.1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982.9+0.2</f>
        <v>983.1</v>
      </c>
      <c r="C34" s="53">
        <f>1732.8+0.4</f>
        <v>1733.2</v>
      </c>
      <c r="D34" s="54">
        <f>1+2.5+0.8+6+1.4+0.1+11.2+0.5+6.3-0.2+32.4+6.9+2.4+3.4+18.4+48+143.7+198.6+32.7+71.3+22.6+9.9</f>
        <v>619.9</v>
      </c>
      <c r="E34" s="1">
        <f>D34/D31*100</f>
        <v>4.630404254683437</v>
      </c>
      <c r="F34" s="1">
        <f t="shared" si="3"/>
        <v>63.05564032143221</v>
      </c>
      <c r="G34" s="1">
        <f t="shared" si="0"/>
        <v>35.76621278559889</v>
      </c>
      <c r="H34" s="1">
        <f t="shared" si="4"/>
        <v>363.20000000000005</v>
      </c>
      <c r="I34" s="1">
        <f t="shared" si="1"/>
        <v>1113.3000000000002</v>
      </c>
    </row>
    <row r="35" spans="1:9" s="47" customFormat="1" ht="18.75">
      <c r="A35" s="25" t="s">
        <v>7</v>
      </c>
      <c r="B35" s="61">
        <v>407.4</v>
      </c>
      <c r="C35" s="62">
        <v>715.3</v>
      </c>
      <c r="D35" s="63">
        <f>38.5+5.5+3+4.5+22.1+25.5+8.2+45.3+17.5</f>
        <v>170.1</v>
      </c>
      <c r="E35" s="21">
        <f>D35/D31*100</f>
        <v>1.2705787445098446</v>
      </c>
      <c r="F35" s="21">
        <f t="shared" si="3"/>
        <v>41.75257731958763</v>
      </c>
      <c r="G35" s="21">
        <f t="shared" si="0"/>
        <v>23.78023207045995</v>
      </c>
      <c r="H35" s="21">
        <f t="shared" si="4"/>
        <v>237.29999999999998</v>
      </c>
      <c r="I35" s="21">
        <f t="shared" si="1"/>
        <v>545.1999999999999</v>
      </c>
    </row>
    <row r="36" spans="1:9" ht="18">
      <c r="A36" s="31" t="s">
        <v>15</v>
      </c>
      <c r="B36" s="52">
        <f>38-20</f>
        <v>18</v>
      </c>
      <c r="C36" s="53">
        <f>45.2-20</f>
        <v>25.200000000000003</v>
      </c>
      <c r="D36" s="53">
        <f>3.6+3.6+7.2</f>
        <v>14.4</v>
      </c>
      <c r="E36" s="1">
        <f>D36/D31*100</f>
        <v>0.10756222175744717</v>
      </c>
      <c r="F36" s="1">
        <f t="shared" si="3"/>
        <v>80</v>
      </c>
      <c r="G36" s="1">
        <f t="shared" si="0"/>
        <v>57.14285714285714</v>
      </c>
      <c r="H36" s="1">
        <f t="shared" si="4"/>
        <v>3.5999999999999996</v>
      </c>
      <c r="I36" s="1">
        <f t="shared" si="1"/>
        <v>10.800000000000002</v>
      </c>
    </row>
    <row r="37" spans="1:9" ht="18.75" thickBot="1">
      <c r="A37" s="31" t="s">
        <v>35</v>
      </c>
      <c r="B37" s="52">
        <f>B31-B32-B34-B35-B33-B36</f>
        <v>3348.8999999999996</v>
      </c>
      <c r="C37" s="52">
        <f>C31-C32-C34-C35-C33-C36</f>
        <v>6837.100000000003</v>
      </c>
      <c r="D37" s="52">
        <f>D31-D32-D34-D35-D33-D36</f>
        <v>2562.3000000000025</v>
      </c>
      <c r="E37" s="1">
        <f>D37/D31*100</f>
        <v>19.139352833965777</v>
      </c>
      <c r="F37" s="1">
        <f t="shared" si="3"/>
        <v>76.51169040580498</v>
      </c>
      <c r="G37" s="1">
        <f t="shared" si="0"/>
        <v>37.476415439294456</v>
      </c>
      <c r="H37" s="1">
        <f>B37-D37</f>
        <v>786.5999999999972</v>
      </c>
      <c r="I37" s="1">
        <f t="shared" si="1"/>
        <v>4274.800000000001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499.9</v>
      </c>
      <c r="C41" s="56">
        <f>1079.9+40.7</f>
        <v>1120.6000000000001</v>
      </c>
      <c r="D41" s="57">
        <f>39.9+10-0.1+63.8+32.1+23.9+51.2</f>
        <v>220.8</v>
      </c>
      <c r="E41" s="3">
        <f>D41/D134*100</f>
        <v>0.09458346862596091</v>
      </c>
      <c r="F41" s="3">
        <f>D41/B41*100</f>
        <v>44.16883376675336</v>
      </c>
      <c r="G41" s="3">
        <f t="shared" si="0"/>
        <v>19.70373014456541</v>
      </c>
      <c r="H41" s="3">
        <f t="shared" si="4"/>
        <v>279.09999999999997</v>
      </c>
      <c r="I41" s="3">
        <f t="shared" si="1"/>
        <v>899.8000000000002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2593</v>
      </c>
      <c r="C43" s="56">
        <f>6105.1+0.1</f>
        <v>6105.200000000001</v>
      </c>
      <c r="D43" s="57">
        <f>179.7+225.2+3.4+199.4+211.8+7.4+5.4+7.6+190.5+3.4+230.5+100.1+236.3+13.2+11.9+20.5+199.9+0.1+2+33.2+238.5+1.1+16.6</f>
        <v>2137.7</v>
      </c>
      <c r="E43" s="3">
        <f>D43/D134*100</f>
        <v>0.9157204750077745</v>
      </c>
      <c r="F43" s="3">
        <f>D43/B43*100</f>
        <v>82.4411878133436</v>
      </c>
      <c r="G43" s="3">
        <f aca="true" t="shared" si="5" ref="G43:G73">D43/C43*100</f>
        <v>35.01441394221319</v>
      </c>
      <c r="H43" s="3">
        <f>B43-D43</f>
        <v>455.3000000000002</v>
      </c>
      <c r="I43" s="3">
        <f aca="true" t="shared" si="6" ref="I43:I74">C43-D43</f>
        <v>3967.500000000001</v>
      </c>
    </row>
    <row r="44" spans="1:9" ht="18">
      <c r="A44" s="31" t="s">
        <v>3</v>
      </c>
      <c r="B44" s="52">
        <v>2137.1</v>
      </c>
      <c r="C44" s="53">
        <f>5484.1-124.7</f>
        <v>5359.400000000001</v>
      </c>
      <c r="D44" s="54">
        <f>179.7+201.3+187+211.8+190.5+230.5+236.3+199.9+0.1+218.5</f>
        <v>1855.6</v>
      </c>
      <c r="E44" s="1">
        <f>D44/D43*100</f>
        <v>86.80357393460262</v>
      </c>
      <c r="F44" s="1">
        <f aca="true" t="shared" si="7" ref="F44:F71">D44/B44*100</f>
        <v>86.82794441064995</v>
      </c>
      <c r="G44" s="1">
        <f t="shared" si="5"/>
        <v>34.623278725230435</v>
      </c>
      <c r="H44" s="1">
        <f aca="true" t="shared" si="8" ref="H44:H71">B44-D44</f>
        <v>281.5</v>
      </c>
      <c r="I44" s="1">
        <f t="shared" si="6"/>
        <v>3503.8000000000006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14.4</v>
      </c>
      <c r="C46" s="53">
        <v>35.1</v>
      </c>
      <c r="D46" s="54">
        <f>3.2+3.4-0.1+3.7+3.6</f>
        <v>13.799999999999999</v>
      </c>
      <c r="E46" s="1">
        <f>D46/D43*100</f>
        <v>0.6455536324086636</v>
      </c>
      <c r="F46" s="1">
        <f t="shared" si="7"/>
        <v>95.83333333333333</v>
      </c>
      <c r="G46" s="1">
        <f t="shared" si="5"/>
        <v>39.31623931623931</v>
      </c>
      <c r="H46" s="1">
        <f t="shared" si="8"/>
        <v>0.6000000000000014</v>
      </c>
      <c r="I46" s="1">
        <f t="shared" si="6"/>
        <v>21.300000000000004</v>
      </c>
    </row>
    <row r="47" spans="1:9" ht="18">
      <c r="A47" s="31" t="s">
        <v>0</v>
      </c>
      <c r="B47" s="52">
        <v>260.3</v>
      </c>
      <c r="C47" s="53">
        <f>358+23.1</f>
        <v>381.1</v>
      </c>
      <c r="D47" s="54">
        <f>23.1+2.7+0.5+0.4+5.2+0.6+99.9+12.6+20.5-0.1+2+19.6+1.1</f>
        <v>188.1</v>
      </c>
      <c r="E47" s="1">
        <f>D47/D43*100</f>
        <v>8.799176685222436</v>
      </c>
      <c r="F47" s="1">
        <f t="shared" si="7"/>
        <v>72.26277372262773</v>
      </c>
      <c r="G47" s="1">
        <f t="shared" si="5"/>
        <v>49.357124114405664</v>
      </c>
      <c r="H47" s="1">
        <f t="shared" si="8"/>
        <v>72.20000000000002</v>
      </c>
      <c r="I47" s="1">
        <f t="shared" si="6"/>
        <v>193.00000000000003</v>
      </c>
    </row>
    <row r="48" spans="1:9" ht="18.75" thickBot="1">
      <c r="A48" s="31" t="s">
        <v>35</v>
      </c>
      <c r="B48" s="53">
        <f>B43-B44-B47-B46-B45</f>
        <v>180.60000000000008</v>
      </c>
      <c r="C48" s="53">
        <f>C43-C44-C47-C46-C45</f>
        <v>328.60000000000014</v>
      </c>
      <c r="D48" s="53">
        <f>D43-D44-D47-D46-D45</f>
        <v>80.19999999999992</v>
      </c>
      <c r="E48" s="1">
        <f>D48/D43*100</f>
        <v>3.751695747766287</v>
      </c>
      <c r="F48" s="1">
        <f t="shared" si="7"/>
        <v>44.40753045404202</v>
      </c>
      <c r="G48" s="1">
        <f t="shared" si="5"/>
        <v>24.406573341448535</v>
      </c>
      <c r="H48" s="1">
        <f t="shared" si="8"/>
        <v>100.40000000000016</v>
      </c>
      <c r="I48" s="1">
        <f t="shared" si="6"/>
        <v>248.4000000000002</v>
      </c>
    </row>
    <row r="49" spans="1:9" ht="18.75" thickBot="1">
      <c r="A49" s="30" t="s">
        <v>4</v>
      </c>
      <c r="B49" s="55">
        <v>5506.4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</f>
        <v>4343.2</v>
      </c>
      <c r="E49" s="3">
        <f>D49/D134*100</f>
        <v>1.8604842433708035</v>
      </c>
      <c r="F49" s="3">
        <f>D49/B49*100</f>
        <v>78.87549033851519</v>
      </c>
      <c r="G49" s="3">
        <f t="shared" si="5"/>
        <v>35.77535790184676</v>
      </c>
      <c r="H49" s="3">
        <f>B49-D49</f>
        <v>1163.1999999999998</v>
      </c>
      <c r="I49" s="3">
        <f t="shared" si="6"/>
        <v>7796.999999999999</v>
      </c>
    </row>
    <row r="50" spans="1:9" ht="18">
      <c r="A50" s="31" t="s">
        <v>3</v>
      </c>
      <c r="B50" s="52">
        <v>3202.3</v>
      </c>
      <c r="C50" s="53">
        <f>7727-234.9</f>
        <v>7492.1</v>
      </c>
      <c r="D50" s="54">
        <f>282.8+343.5+279.8+360.5+269.9+364.8-0.1+7.2+231.6+28.9+358.6+269.6</f>
        <v>2797.1</v>
      </c>
      <c r="E50" s="1">
        <f>D50/D49*100</f>
        <v>64.40182354024682</v>
      </c>
      <c r="F50" s="1">
        <f t="shared" si="7"/>
        <v>87.34659463510602</v>
      </c>
      <c r="G50" s="1">
        <f t="shared" si="5"/>
        <v>37.33399180470095</v>
      </c>
      <c r="H50" s="1">
        <f t="shared" si="8"/>
        <v>405.2000000000003</v>
      </c>
      <c r="I50" s="1">
        <f t="shared" si="6"/>
        <v>4695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142.7</v>
      </c>
      <c r="C52" s="53">
        <v>325</v>
      </c>
      <c r="D52" s="54">
        <f>2.4+4.2+4.2+8.7+3.1+5.2-0.1+2.3+6.7+7.1+0.1+3.9+3.5</f>
        <v>51.300000000000004</v>
      </c>
      <c r="E52" s="1">
        <f>D52/D49*100</f>
        <v>1.1811567507828329</v>
      </c>
      <c r="F52" s="1">
        <f t="shared" si="7"/>
        <v>35.949544498948846</v>
      </c>
      <c r="G52" s="1">
        <f t="shared" si="5"/>
        <v>15.784615384615385</v>
      </c>
      <c r="H52" s="1">
        <f t="shared" si="8"/>
        <v>91.39999999999998</v>
      </c>
      <c r="I52" s="1">
        <f t="shared" si="6"/>
        <v>273.7</v>
      </c>
    </row>
    <row r="53" spans="1:9" ht="18">
      <c r="A53" s="31" t="s">
        <v>0</v>
      </c>
      <c r="B53" s="52">
        <v>288.4</v>
      </c>
      <c r="C53" s="53">
        <v>534.1</v>
      </c>
      <c r="D53" s="54">
        <f>6+11+5+10.4+0.1+20.8+16+0.1+76.5+39.2+7.7+0.3+8.1+0.1+0.2</f>
        <v>201.49999999999994</v>
      </c>
      <c r="E53" s="1">
        <f>D53/D49*100</f>
        <v>4.639436360287345</v>
      </c>
      <c r="F53" s="1">
        <f t="shared" si="7"/>
        <v>69.86823855755894</v>
      </c>
      <c r="G53" s="1">
        <f t="shared" si="5"/>
        <v>37.72701741246956</v>
      </c>
      <c r="H53" s="1">
        <f t="shared" si="8"/>
        <v>86.90000000000003</v>
      </c>
      <c r="I53" s="1">
        <f t="shared" si="6"/>
        <v>332.6000000000001</v>
      </c>
    </row>
    <row r="54" spans="1:9" ht="18.75" thickBot="1">
      <c r="A54" s="31" t="s">
        <v>35</v>
      </c>
      <c r="B54" s="53">
        <f>B49-B50-B53-B52-B51</f>
        <v>1872.9999999999993</v>
      </c>
      <c r="C54" s="53">
        <f>C49-C50-C53-C52-C51</f>
        <v>3779.2999999999984</v>
      </c>
      <c r="D54" s="53">
        <f>D49-D50-D53-D52-D51</f>
        <v>1293.3</v>
      </c>
      <c r="E54" s="1">
        <f>D54/D49*100</f>
        <v>29.777583348683002</v>
      </c>
      <c r="F54" s="1">
        <f t="shared" si="7"/>
        <v>69.04965296316072</v>
      </c>
      <c r="G54" s="1">
        <f t="shared" si="5"/>
        <v>34.22062286666844</v>
      </c>
      <c r="H54" s="1">
        <f t="shared" si="8"/>
        <v>579.6999999999994</v>
      </c>
      <c r="I54" s="1">
        <f>C54-D54</f>
        <v>2485.999999999998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1554.4</v>
      </c>
      <c r="C56" s="56">
        <f>3908.9-890.1</f>
        <v>3018.8</v>
      </c>
      <c r="D56" s="57">
        <f>128-60.9+102.5+11.8+75.2+16.7+4.5+87.9+0.1+68.6+30.5+35.2+2.4+30+93-9.8+0.1+1.7+68.5+10.2+1.8+24.5+103.7+27.9-0.2+10.2+8.1+67+7.8</f>
        <v>947.0000000000001</v>
      </c>
      <c r="E56" s="3">
        <f>D56/D134*100</f>
        <v>0.4056636992245697</v>
      </c>
      <c r="F56" s="3">
        <f>D56/B56*100</f>
        <v>60.92382913021102</v>
      </c>
      <c r="G56" s="3">
        <f t="shared" si="5"/>
        <v>31.3700808268186</v>
      </c>
      <c r="H56" s="3">
        <f>B56-D56</f>
        <v>607.4</v>
      </c>
      <c r="I56" s="3">
        <f t="shared" si="6"/>
        <v>2071.8</v>
      </c>
    </row>
    <row r="57" spans="1:9" ht="18">
      <c r="A57" s="31" t="s">
        <v>3</v>
      </c>
      <c r="B57" s="52">
        <v>913.9</v>
      </c>
      <c r="C57" s="53">
        <f>2589.6-887.6</f>
        <v>1702</v>
      </c>
      <c r="D57" s="54">
        <f>128-60.9+102.5+75.2+87.9+68.6+30+93+68.5+96.9-0.1+67</f>
        <v>756.6</v>
      </c>
      <c r="E57" s="1">
        <f>D57/D56*100</f>
        <v>79.89440337909186</v>
      </c>
      <c r="F57" s="1">
        <f t="shared" si="7"/>
        <v>82.78805120910384</v>
      </c>
      <c r="G57" s="1">
        <f t="shared" si="5"/>
        <v>44.453584018801415</v>
      </c>
      <c r="H57" s="1">
        <f t="shared" si="8"/>
        <v>157.29999999999995</v>
      </c>
      <c r="I57" s="1">
        <f t="shared" si="6"/>
        <v>945.4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161.6</v>
      </c>
      <c r="C59" s="53">
        <f>297.4-9.5</f>
        <v>287.9</v>
      </c>
      <c r="D59" s="54">
        <f>4.5+4.5+30.5+35.2+10+24.5+10.2+0.1</f>
        <v>119.5</v>
      </c>
      <c r="E59" s="1">
        <f>D59/D56*100</f>
        <v>12.618796198521645</v>
      </c>
      <c r="F59" s="1">
        <f t="shared" si="7"/>
        <v>73.94801980198021</v>
      </c>
      <c r="G59" s="1">
        <f t="shared" si="5"/>
        <v>41.507467870788474</v>
      </c>
      <c r="H59" s="1">
        <f t="shared" si="8"/>
        <v>42.099999999999994</v>
      </c>
      <c r="I59" s="1">
        <f t="shared" si="6"/>
        <v>168.39999999999998</v>
      </c>
    </row>
    <row r="60" spans="1:9" ht="18">
      <c r="A60" s="31" t="s">
        <v>15</v>
      </c>
      <c r="B60" s="52">
        <f>409.5-4</f>
        <v>405.5</v>
      </c>
      <c r="C60" s="53">
        <v>728.7</v>
      </c>
      <c r="D60" s="54"/>
      <c r="E60" s="1">
        <f>D60/D56*100</f>
        <v>0</v>
      </c>
      <c r="F60" s="118">
        <f t="shared" si="7"/>
        <v>0</v>
      </c>
      <c r="G60" s="1">
        <f t="shared" si="5"/>
        <v>0</v>
      </c>
      <c r="H60" s="1">
        <f t="shared" si="8"/>
        <v>405.5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73.40000000000009</v>
      </c>
      <c r="C61" s="53">
        <f>C56-C57-C59-C60-C58</f>
        <v>300.20000000000005</v>
      </c>
      <c r="D61" s="53">
        <f>D56-D57-D59-D60-D58</f>
        <v>70.90000000000009</v>
      </c>
      <c r="E61" s="1">
        <f>D61/D56*100</f>
        <v>7.486800422386493</v>
      </c>
      <c r="F61" s="1">
        <f t="shared" si="7"/>
        <v>96.59400544959128</v>
      </c>
      <c r="G61" s="1">
        <f t="shared" si="5"/>
        <v>23.6175882744837</v>
      </c>
      <c r="H61" s="1">
        <f t="shared" si="8"/>
        <v>2.5</v>
      </c>
      <c r="I61" s="1">
        <f t="shared" si="6"/>
        <v>229.29999999999995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184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184</v>
      </c>
      <c r="I66" s="3">
        <f t="shared" si="6"/>
        <v>460</v>
      </c>
    </row>
    <row r="67" spans="1:9" ht="18">
      <c r="A67" s="31" t="s">
        <v>8</v>
      </c>
      <c r="B67" s="52">
        <v>109.1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109.1</v>
      </c>
      <c r="I67" s="1">
        <f t="shared" si="6"/>
        <v>257.4</v>
      </c>
    </row>
    <row r="68" spans="1:9" ht="18.75" thickBot="1">
      <c r="A68" s="31" t="s">
        <v>9</v>
      </c>
      <c r="B68" s="52">
        <v>74.9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74.9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166.7</v>
      </c>
      <c r="C74" s="72">
        <v>400</v>
      </c>
      <c r="D74" s="73"/>
      <c r="E74" s="51"/>
      <c r="F74" s="51"/>
      <c r="G74" s="51"/>
      <c r="H74" s="51">
        <f>B74-D74</f>
        <v>166.7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20263.6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</f>
        <v>16362.3</v>
      </c>
      <c r="E87" s="3">
        <f>D87/D134*100</f>
        <v>7.009071959685508</v>
      </c>
      <c r="F87" s="3">
        <f aca="true" t="shared" si="11" ref="F87:F92">D87/B87*100</f>
        <v>80.74725122880436</v>
      </c>
      <c r="G87" s="3">
        <f t="shared" si="9"/>
        <v>36.390587816649244</v>
      </c>
      <c r="H87" s="3">
        <f aca="true" t="shared" si="12" ref="H87:H92">B87-D87</f>
        <v>3901.2999999999993</v>
      </c>
      <c r="I87" s="3">
        <f t="shared" si="10"/>
        <v>28600.7</v>
      </c>
    </row>
    <row r="88" spans="1:9" ht="18">
      <c r="A88" s="31" t="s">
        <v>3</v>
      </c>
      <c r="B88" s="52">
        <f>15971.5-2.8</f>
        <v>15968.7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</f>
        <v>13620.8</v>
      </c>
      <c r="E88" s="1">
        <f>D88/D87*100</f>
        <v>83.24502056556841</v>
      </c>
      <c r="F88" s="1">
        <f t="shared" si="11"/>
        <v>85.29686198626062</v>
      </c>
      <c r="G88" s="1">
        <f t="shared" si="9"/>
        <v>35.83261207556501</v>
      </c>
      <c r="H88" s="1">
        <f t="shared" si="12"/>
        <v>2347.9000000000015</v>
      </c>
      <c r="I88" s="1">
        <f t="shared" si="10"/>
        <v>24391.500000000004</v>
      </c>
    </row>
    <row r="89" spans="1:9" ht="18">
      <c r="A89" s="31" t="s">
        <v>33</v>
      </c>
      <c r="B89" s="52">
        <v>1181.2</v>
      </c>
      <c r="C89" s="53">
        <f>1866.3+51.3</f>
        <v>1917.6</v>
      </c>
      <c r="D89" s="54">
        <f>125+55.5+51.3+1.7-0.1+10.4+5.3+280.6+162.7+2.2+25.3+117.8+56.8+64.4+1.4</f>
        <v>960.3</v>
      </c>
      <c r="E89" s="1">
        <f>D89/D87*100</f>
        <v>5.868979299976164</v>
      </c>
      <c r="F89" s="1">
        <f t="shared" si="11"/>
        <v>81.2986793091771</v>
      </c>
      <c r="G89" s="1">
        <f t="shared" si="9"/>
        <v>50.07822277847309</v>
      </c>
      <c r="H89" s="1">
        <f t="shared" si="12"/>
        <v>220.9000000000001</v>
      </c>
      <c r="I89" s="1">
        <f t="shared" si="10"/>
        <v>957.3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3113.699999999998</v>
      </c>
      <c r="C91" s="53">
        <f>C87-C88-C89-C90</f>
        <v>5033.099999999997</v>
      </c>
      <c r="D91" s="53">
        <f>D87-D88-D89-D90</f>
        <v>1781.2</v>
      </c>
      <c r="E91" s="1">
        <f>D91/D87*100</f>
        <v>10.886000134455426</v>
      </c>
      <c r="F91" s="1">
        <f t="shared" si="11"/>
        <v>57.20525419918429</v>
      </c>
      <c r="G91" s="1">
        <f>D91/C91*100</f>
        <v>35.38972005324752</v>
      </c>
      <c r="H91" s="1">
        <f t="shared" si="12"/>
        <v>1332.499999999998</v>
      </c>
      <c r="I91" s="1">
        <f>C91-D91</f>
        <v>3251.899999999997</v>
      </c>
    </row>
    <row r="92" spans="1:9" ht="19.5" thickBot="1">
      <c r="A92" s="15" t="s">
        <v>12</v>
      </c>
      <c r="B92" s="64">
        <v>21054.3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</f>
        <v>13678.800000000003</v>
      </c>
      <c r="E92" s="3">
        <f>D92/D134*100</f>
        <v>5.859548689496352</v>
      </c>
      <c r="F92" s="3">
        <f t="shared" si="11"/>
        <v>64.96915119476783</v>
      </c>
      <c r="G92" s="3">
        <f>D92/C92*100</f>
        <v>31.60579860164421</v>
      </c>
      <c r="H92" s="3">
        <f t="shared" si="12"/>
        <v>7375.499999999996</v>
      </c>
      <c r="I92" s="3">
        <f>C92-D92</f>
        <v>29600.6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2788.8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</f>
        <v>2322.1</v>
      </c>
      <c r="E98" s="27">
        <f>D98/D134*100</f>
        <v>0.9947113790595282</v>
      </c>
      <c r="F98" s="27">
        <f>D98/B98*100</f>
        <v>83.26520367183016</v>
      </c>
      <c r="G98" s="27">
        <f aca="true" t="shared" si="13" ref="G98:G111">D98/C98*100</f>
        <v>37.673188617411334</v>
      </c>
      <c r="H98" s="27">
        <f>B98-D98</f>
        <v>466.7000000000003</v>
      </c>
      <c r="I98" s="27">
        <f aca="true" t="shared" si="14" ref="I98:I132">C98-D98</f>
        <v>3841.7000000000003</v>
      </c>
    </row>
    <row r="99" spans="1:9" ht="18">
      <c r="A99" s="95" t="s">
        <v>66</v>
      </c>
      <c r="B99" s="105">
        <f>22.5-2.3-5</f>
        <v>15.2</v>
      </c>
      <c r="C99" s="103">
        <f>23.5-2.3-6</f>
        <v>15.2</v>
      </c>
      <c r="D99" s="103">
        <f>12.7</f>
        <v>12.7</v>
      </c>
      <c r="E99" s="99">
        <f>D99/D98*100</f>
        <v>0.5469187373498127</v>
      </c>
      <c r="F99" s="1">
        <f>D99/B99*100</f>
        <v>83.55263157894737</v>
      </c>
      <c r="G99" s="99">
        <f>D99/C99*100</f>
        <v>83.55263157894737</v>
      </c>
      <c r="H99" s="99">
        <f>B99-D99</f>
        <v>2.5</v>
      </c>
      <c r="I99" s="99">
        <f t="shared" si="14"/>
        <v>2.5</v>
      </c>
    </row>
    <row r="100" spans="1:9" ht="18">
      <c r="A100" s="101" t="s">
        <v>65</v>
      </c>
      <c r="B100" s="85">
        <f>2536.7-3.4-0.4+10.3</f>
        <v>2543.2</v>
      </c>
      <c r="C100" s="54">
        <f>4699.6+1.8+903.3-10.8-3+21.3</f>
        <v>5612.200000000001</v>
      </c>
      <c r="D100" s="54">
        <f>111.4+112.6+0.9+99.8+111.4+47.6+73.3-0.9+24.7+28.7+415.6+4.4+7.7+94.7+205.4+127.9+182.3+101.7+1.5+137.1+2.5+115.1+119.6+27+29</f>
        <v>2181.0000000000005</v>
      </c>
      <c r="E100" s="1">
        <f>D100/D98*100</f>
        <v>93.92360363464108</v>
      </c>
      <c r="F100" s="1">
        <f aca="true" t="shared" si="15" ref="F100:F132">D100/B100*100</f>
        <v>85.75810003145645</v>
      </c>
      <c r="G100" s="1">
        <f t="shared" si="13"/>
        <v>38.861765439578065</v>
      </c>
      <c r="H100" s="1">
        <f>B100-D100</f>
        <v>362.19999999999936</v>
      </c>
      <c r="I100" s="1">
        <f t="shared" si="14"/>
        <v>3431.2000000000003</v>
      </c>
    </row>
    <row r="101" spans="1:9" ht="18.75" thickBot="1">
      <c r="A101" s="102" t="s">
        <v>35</v>
      </c>
      <c r="B101" s="104">
        <f>B98-B99-B100</f>
        <v>230.40000000000055</v>
      </c>
      <c r="C101" s="104">
        <f>C98-C99-C100</f>
        <v>536.3999999999996</v>
      </c>
      <c r="D101" s="104">
        <f>D98-D99-D100</f>
        <v>128.39999999999964</v>
      </c>
      <c r="E101" s="100">
        <f>D101/D98*100</f>
        <v>5.529477628009114</v>
      </c>
      <c r="F101" s="100">
        <f t="shared" si="15"/>
        <v>55.72916666666637</v>
      </c>
      <c r="G101" s="100">
        <f t="shared" si="13"/>
        <v>23.937360178970867</v>
      </c>
      <c r="H101" s="100">
        <f>B101-D101</f>
        <v>102.00000000000091</v>
      </c>
      <c r="I101" s="100">
        <f t="shared" si="14"/>
        <v>408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8936.300000000001</v>
      </c>
      <c r="C102" s="97">
        <f>SUM(C103:C131)-C110-C114+C132-C127-C128-C104-C107</f>
        <v>16857.2</v>
      </c>
      <c r="D102" s="97">
        <f>SUM(D103:D131)-D110-D114+D132-D127-D128-D104-D107</f>
        <v>5841.7</v>
      </c>
      <c r="E102" s="98">
        <f>D102/D134*100</f>
        <v>2.5023924305809593</v>
      </c>
      <c r="F102" s="98">
        <f>D102/B102*100</f>
        <v>65.37045533386299</v>
      </c>
      <c r="G102" s="98">
        <f t="shared" si="13"/>
        <v>34.654035071067554</v>
      </c>
      <c r="H102" s="98">
        <f>B102-D102</f>
        <v>3094.6000000000013</v>
      </c>
      <c r="I102" s="98">
        <f t="shared" si="14"/>
        <v>11015.5</v>
      </c>
    </row>
    <row r="103" spans="1:9" ht="37.5">
      <c r="A103" s="36" t="s">
        <v>69</v>
      </c>
      <c r="B103" s="82">
        <v>910.9</v>
      </c>
      <c r="C103" s="78">
        <v>1869.9</v>
      </c>
      <c r="D103" s="83">
        <f>1.4+20.1+85.2+143.2+49+97.4</f>
        <v>396.29999999999995</v>
      </c>
      <c r="E103" s="6">
        <f>D103/D102*100</f>
        <v>6.783984114213328</v>
      </c>
      <c r="F103" s="6">
        <f t="shared" si="15"/>
        <v>43.50642221978263</v>
      </c>
      <c r="G103" s="6">
        <f t="shared" si="13"/>
        <v>21.193646719075883</v>
      </c>
      <c r="H103" s="6">
        <f aca="true" t="shared" si="16" ref="H103:H132">B103-D103</f>
        <v>514.6</v>
      </c>
      <c r="I103" s="6">
        <f t="shared" si="14"/>
        <v>1473.6000000000001</v>
      </c>
    </row>
    <row r="104" spans="1:9" ht="18">
      <c r="A104" s="31" t="s">
        <v>33</v>
      </c>
      <c r="B104" s="85">
        <v>642.8</v>
      </c>
      <c r="C104" s="54">
        <f>1242.6+0.7</f>
        <v>1243.3</v>
      </c>
      <c r="D104" s="86">
        <f>1.4+85.2+143.2+49</f>
        <v>278.8</v>
      </c>
      <c r="E104" s="1"/>
      <c r="F104" s="1">
        <f t="shared" si="15"/>
        <v>43.3727442439328</v>
      </c>
      <c r="G104" s="1">
        <f t="shared" si="13"/>
        <v>22.424193678114694</v>
      </c>
      <c r="H104" s="1">
        <f t="shared" si="16"/>
        <v>363.99999999999994</v>
      </c>
      <c r="I104" s="1">
        <f t="shared" si="14"/>
        <v>964.5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13.2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13.2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30.9</v>
      </c>
      <c r="C108" s="71">
        <v>75.5</v>
      </c>
      <c r="D108" s="83">
        <f>5.5+5.5+5.5-0.1+5.5</f>
        <v>21.9</v>
      </c>
      <c r="E108" s="6">
        <f>D108/D102*100</f>
        <v>0.37489087080815514</v>
      </c>
      <c r="F108" s="6">
        <f t="shared" si="15"/>
        <v>70.87378640776699</v>
      </c>
      <c r="G108" s="6">
        <f t="shared" si="13"/>
        <v>29.00662251655629</v>
      </c>
      <c r="H108" s="6">
        <f t="shared" si="16"/>
        <v>9</v>
      </c>
      <c r="I108" s="6">
        <f t="shared" si="14"/>
        <v>53.6</v>
      </c>
    </row>
    <row r="109" spans="1:9" ht="37.5">
      <c r="A109" s="19" t="s">
        <v>47</v>
      </c>
      <c r="B109" s="84">
        <v>462.3</v>
      </c>
      <c r="C109" s="71">
        <v>1050</v>
      </c>
      <c r="D109" s="83">
        <f>149.7+2.5+4.1+81.3+2.1+67.3+8</f>
        <v>314.99999999999994</v>
      </c>
      <c r="E109" s="6">
        <f>D109/D102*100</f>
        <v>5.392265949980313</v>
      </c>
      <c r="F109" s="6">
        <f t="shared" si="15"/>
        <v>68.13757300454249</v>
      </c>
      <c r="G109" s="6">
        <f t="shared" si="13"/>
        <v>29.999999999999993</v>
      </c>
      <c r="H109" s="6">
        <f t="shared" si="16"/>
        <v>147.30000000000007</v>
      </c>
      <c r="I109" s="6">
        <f t="shared" si="14"/>
        <v>735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22.9</v>
      </c>
      <c r="C111" s="63">
        <f>51.6+22.9</f>
        <v>74.5</v>
      </c>
      <c r="D111" s="87">
        <f>22.9</f>
        <v>22.9</v>
      </c>
      <c r="E111" s="21">
        <f>D111/D102*100</f>
        <v>0.39200917541126723</v>
      </c>
      <c r="F111" s="21"/>
      <c r="G111" s="21">
        <f t="shared" si="13"/>
        <v>30.738255033557042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178.6</v>
      </c>
      <c r="C112" s="71">
        <f>488.6-250</f>
        <v>238.60000000000002</v>
      </c>
      <c r="D112" s="83">
        <f>4.9+70</f>
        <v>74.9</v>
      </c>
      <c r="E112" s="6">
        <f>D112/D102*100</f>
        <v>1.282161014773097</v>
      </c>
      <c r="F112" s="6">
        <f>D112/B112*100</f>
        <v>41.937290033594635</v>
      </c>
      <c r="G112" s="6">
        <f aca="true" t="shared" si="17" ref="G112:G132">D112/C112*100</f>
        <v>31.391450125733446</v>
      </c>
      <c r="H112" s="6">
        <f t="shared" si="16"/>
        <v>103.69999999999999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80.5</v>
      </c>
      <c r="C113" s="63">
        <v>153.4</v>
      </c>
      <c r="D113" s="83">
        <f>13.5+13.4+14.3+0.8+6.9+0.4+13.5-0.1+0.8+0.5+2</f>
        <v>66</v>
      </c>
      <c r="E113" s="6">
        <f>D113/D102*100</f>
        <v>1.129808103805399</v>
      </c>
      <c r="F113" s="6">
        <f t="shared" si="15"/>
        <v>81.98757763975155</v>
      </c>
      <c r="G113" s="6">
        <f t="shared" si="17"/>
        <v>43.02477183833116</v>
      </c>
      <c r="H113" s="6">
        <f t="shared" si="16"/>
        <v>14.5</v>
      </c>
      <c r="I113" s="6">
        <f t="shared" si="14"/>
        <v>87.4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</f>
        <v>53.9</v>
      </c>
      <c r="E114" s="1"/>
      <c r="F114" s="1">
        <f t="shared" si="15"/>
        <v>80.0891530460624</v>
      </c>
      <c r="G114" s="1">
        <f t="shared" si="17"/>
        <v>44.47194719471947</v>
      </c>
      <c r="H114" s="1">
        <f t="shared" si="16"/>
        <v>13.399999999999999</v>
      </c>
      <c r="I114" s="1">
        <f t="shared" si="14"/>
        <v>67.30000000000001</v>
      </c>
    </row>
    <row r="115" spans="1:9" s="2" customFormat="1" ht="18.75">
      <c r="A115" s="19" t="s">
        <v>25</v>
      </c>
      <c r="B115" s="84">
        <v>0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0.3406542616019309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1484.7</v>
      </c>
      <c r="C117" s="63">
        <v>1700.1</v>
      </c>
      <c r="D117" s="87">
        <f>196.6+25+11.8+12.7</f>
        <v>246.1</v>
      </c>
      <c r="E117" s="21">
        <f>D117/D102*100</f>
        <v>4.21281476282589</v>
      </c>
      <c r="F117" s="6">
        <f t="shared" si="15"/>
        <v>16.57573920657372</v>
      </c>
      <c r="G117" s="6">
        <f t="shared" si="17"/>
        <v>14.475619081230517</v>
      </c>
      <c r="H117" s="6">
        <f t="shared" si="16"/>
        <v>1238.6000000000001</v>
      </c>
      <c r="I117" s="6">
        <f t="shared" si="14"/>
        <v>1454</v>
      </c>
    </row>
    <row r="118" spans="1:9" s="2" customFormat="1" ht="56.25">
      <c r="A118" s="19" t="s">
        <v>56</v>
      </c>
      <c r="B118" s="84">
        <f>127.3-13</f>
        <v>114.3</v>
      </c>
      <c r="C118" s="63">
        <f>157.1+1.2</f>
        <v>158.29999999999998</v>
      </c>
      <c r="D118" s="87">
        <f>3.8</f>
        <v>3.8</v>
      </c>
      <c r="E118" s="21">
        <f>D118/D102*100</f>
        <v>0.065049557491826</v>
      </c>
      <c r="F118" s="6">
        <f t="shared" si="15"/>
        <v>3.3245844269466316</v>
      </c>
      <c r="G118" s="6">
        <f t="shared" si="17"/>
        <v>2.4005053695514844</v>
      </c>
      <c r="H118" s="6">
        <f t="shared" si="16"/>
        <v>110.5</v>
      </c>
      <c r="I118" s="6">
        <f t="shared" si="14"/>
        <v>154.49999999999997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</f>
        <v>21.4</v>
      </c>
      <c r="E120" s="21">
        <f>D120/D102*100</f>
        <v>0.36633171850659907</v>
      </c>
      <c r="F120" s="6">
        <f t="shared" si="15"/>
        <v>42.8</v>
      </c>
      <c r="G120" s="6">
        <f t="shared" si="17"/>
        <v>42.8</v>
      </c>
      <c r="H120" s="6">
        <f t="shared" si="16"/>
        <v>28.6</v>
      </c>
      <c r="I120" s="6">
        <f t="shared" si="14"/>
        <v>28.6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</f>
        <v>18.3</v>
      </c>
      <c r="E121" s="21">
        <f>D121/D102*100</f>
        <v>0.3132649742369516</v>
      </c>
      <c r="F121" s="6">
        <f t="shared" si="15"/>
        <v>21.605667060212514</v>
      </c>
      <c r="G121" s="6">
        <f t="shared" si="17"/>
        <v>21.605667060212514</v>
      </c>
      <c r="H121" s="6">
        <f t="shared" si="16"/>
        <v>66.4</v>
      </c>
      <c r="I121" s="6">
        <f t="shared" si="14"/>
        <v>66.4</v>
      </c>
    </row>
    <row r="122" spans="1:9" s="2" customFormat="1" ht="18.75">
      <c r="A122" s="19" t="s">
        <v>75</v>
      </c>
      <c r="B122" s="84">
        <f>59.7+6.2+13</f>
        <v>78.9</v>
      </c>
      <c r="C122" s="63">
        <v>178.8</v>
      </c>
      <c r="D122" s="87">
        <f>7.2+1.4+9.3+6.8+7.7+4.3</f>
        <v>36.699999999999996</v>
      </c>
      <c r="E122" s="21">
        <f>D122/D102*100</f>
        <v>0.6282417789342143</v>
      </c>
      <c r="F122" s="6">
        <f t="shared" si="15"/>
        <v>46.5145754119138</v>
      </c>
      <c r="G122" s="6">
        <f t="shared" si="17"/>
        <v>20.525727069351227</v>
      </c>
      <c r="H122" s="6">
        <f t="shared" si="16"/>
        <v>42.20000000000001</v>
      </c>
      <c r="I122" s="6">
        <f t="shared" si="14"/>
        <v>142.10000000000002</v>
      </c>
    </row>
    <row r="123" spans="1:9" s="2" customFormat="1" ht="35.25" customHeight="1">
      <c r="A123" s="19" t="s">
        <v>74</v>
      </c>
      <c r="B123" s="84">
        <v>14.5</v>
      </c>
      <c r="C123" s="63">
        <v>67.6</v>
      </c>
      <c r="D123" s="87">
        <f>0.5+1.5+0.1</f>
        <v>2.1</v>
      </c>
      <c r="E123" s="21">
        <f>D123/D102*100</f>
        <v>0.03594843966653543</v>
      </c>
      <c r="F123" s="6">
        <f t="shared" si="15"/>
        <v>14.482758620689657</v>
      </c>
      <c r="G123" s="6">
        <f t="shared" si="17"/>
        <v>3.106508875739645</v>
      </c>
      <c r="H123" s="6">
        <f t="shared" si="16"/>
        <v>12.4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f>60-6.2</f>
        <v>53.8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53.8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364.2</v>
      </c>
      <c r="C126" s="63">
        <v>868.2</v>
      </c>
      <c r="D126" s="87">
        <f>21.4+1.2+34.6+22.6+3.4+31.2+5.1+22.6+3+44.8+0.2+32.7+27.3+30.6+3.7+29.7+4.3</f>
        <v>318.40000000000003</v>
      </c>
      <c r="E126" s="21">
        <f>D126/D102*100</f>
        <v>5.450468185630896</v>
      </c>
      <c r="F126" s="6">
        <f t="shared" si="15"/>
        <v>87.42449203734213</v>
      </c>
      <c r="G126" s="6">
        <f t="shared" si="17"/>
        <v>36.67357751670122</v>
      </c>
      <c r="H126" s="6">
        <f t="shared" si="16"/>
        <v>45.799999999999955</v>
      </c>
      <c r="I126" s="6">
        <f t="shared" si="14"/>
        <v>549.8</v>
      </c>
    </row>
    <row r="127" spans="1:9" s="41" customFormat="1" ht="18">
      <c r="A127" s="42" t="s">
        <v>54</v>
      </c>
      <c r="B127" s="85">
        <v>305.3</v>
      </c>
      <c r="C127" s="54">
        <v>747.1</v>
      </c>
      <c r="D127" s="86">
        <f>21.4+1.2+34.6+22.6+31.2+22.6+44.8+0.2+32.7+30.6+29.7</f>
        <v>271.6</v>
      </c>
      <c r="E127" s="1">
        <f>D127/D126*100</f>
        <v>85.30150753768844</v>
      </c>
      <c r="F127" s="1">
        <f>D127/B127*100</f>
        <v>88.96167703897805</v>
      </c>
      <c r="G127" s="1">
        <f t="shared" si="17"/>
        <v>36.353901753446664</v>
      </c>
      <c r="H127" s="1">
        <f t="shared" si="16"/>
        <v>33.69999999999999</v>
      </c>
      <c r="I127" s="1">
        <f t="shared" si="14"/>
        <v>475.5</v>
      </c>
    </row>
    <row r="128" spans="1:9" s="41" customFormat="1" ht="18">
      <c r="A128" s="31" t="s">
        <v>33</v>
      </c>
      <c r="B128" s="85">
        <v>15.5</v>
      </c>
      <c r="C128" s="54">
        <v>27.4</v>
      </c>
      <c r="D128" s="86">
        <f>3.4+3+2.7+1.6</f>
        <v>10.700000000000001</v>
      </c>
      <c r="E128" s="1">
        <f>D128/D126*100</f>
        <v>3.3605527638190953</v>
      </c>
      <c r="F128" s="1">
        <f>D128/B128*100</f>
        <v>69.03225806451614</v>
      </c>
      <c r="G128" s="1">
        <f>D128/C128*100</f>
        <v>39.05109489051096</v>
      </c>
      <c r="H128" s="1">
        <f t="shared" si="16"/>
        <v>4.799999999999999</v>
      </c>
      <c r="I128" s="1">
        <f t="shared" si="14"/>
        <v>16.699999999999996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71.6914596778335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1.5406474142800897</v>
      </c>
      <c r="F130" s="120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12575.7</v>
      </c>
      <c r="C133" s="88">
        <f>C41+C66+C69+C74+C76+C84+C98+C102+C96+C81+C94</f>
        <v>25001.600000000002</v>
      </c>
      <c r="D133" s="63">
        <f>D41+D66+D69+D74+D76+D84+D98+D102+D96+D81+D94</f>
        <v>8384.6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306283.5999999999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233444.60000000006</v>
      </c>
      <c r="E134" s="40">
        <v>100</v>
      </c>
      <c r="F134" s="3">
        <f>D134/B134*100</f>
        <v>76.21844591091399</v>
      </c>
      <c r="G134" s="3">
        <f aca="true" t="shared" si="18" ref="G134:G140">D134/C134*100</f>
        <v>37.401409478564716</v>
      </c>
      <c r="H134" s="3">
        <f aca="true" t="shared" si="19" ref="H134:H140">B134-D134</f>
        <v>72838.99999999985</v>
      </c>
      <c r="I134" s="3">
        <f aca="true" t="shared" si="20" ref="I134:I140">C134-D134</f>
        <v>390715.29999999993</v>
      </c>
      <c r="K134" s="49"/>
      <c r="L134" s="50"/>
    </row>
    <row r="135" spans="1:12" ht="18.75">
      <c r="A135" s="25" t="s">
        <v>5</v>
      </c>
      <c r="B135" s="70">
        <f>B7+B18+B32+B50+B57+B88+B110+B114+B44+B127</f>
        <v>205345.89999999997</v>
      </c>
      <c r="C135" s="70">
        <f>C7+C18+C32+C50+C57+C88+C110+C114+C44+C127</f>
        <v>430257.9</v>
      </c>
      <c r="D135" s="70">
        <f>D7+D18+D32+D50+D57+D88+D110+D114+D44+D127</f>
        <v>165949.8</v>
      </c>
      <c r="E135" s="6">
        <f>D135/D134*100</f>
        <v>71.08744430156018</v>
      </c>
      <c r="F135" s="6">
        <f aca="true" t="shared" si="21" ref="F135:F146">D135/B135*100</f>
        <v>80.81476182382995</v>
      </c>
      <c r="G135" s="6">
        <f t="shared" si="18"/>
        <v>38.56984380763258</v>
      </c>
      <c r="H135" s="6">
        <f t="shared" si="19"/>
        <v>39396.09999999998</v>
      </c>
      <c r="I135" s="20">
        <f t="shared" si="20"/>
        <v>264308.10000000003</v>
      </c>
      <c r="K135" s="49"/>
      <c r="L135" s="50"/>
    </row>
    <row r="136" spans="1:12" ht="18.75">
      <c r="A136" s="25" t="s">
        <v>0</v>
      </c>
      <c r="B136" s="71">
        <f>B10+B21+B34+B53+B59+B89+B47+B128+B104+B107</f>
        <v>36915</v>
      </c>
      <c r="C136" s="71">
        <f>C10+C21+C34+C53+C59+C89+C47+C128+C104+C107</f>
        <v>64923.7</v>
      </c>
      <c r="D136" s="71">
        <f>D10+D21+D34+D53+D59+D89+D47+D128+D104+D107</f>
        <v>24303.899999999998</v>
      </c>
      <c r="E136" s="6">
        <f>D136/D134*100</f>
        <v>10.41099258667795</v>
      </c>
      <c r="F136" s="6">
        <f t="shared" si="21"/>
        <v>65.83746444534742</v>
      </c>
      <c r="G136" s="6">
        <f t="shared" si="18"/>
        <v>37.434557796305505</v>
      </c>
      <c r="H136" s="6">
        <f t="shared" si="19"/>
        <v>12611.100000000002</v>
      </c>
      <c r="I136" s="20">
        <f t="shared" si="20"/>
        <v>40619.8</v>
      </c>
      <c r="K136" s="49"/>
      <c r="L136" s="106"/>
    </row>
    <row r="137" spans="1:12" ht="18.75">
      <c r="A137" s="25" t="s">
        <v>1</v>
      </c>
      <c r="B137" s="70">
        <f>B20+B9+B52+B46+B58+B33+B99</f>
        <v>9464.800000000001</v>
      </c>
      <c r="C137" s="70">
        <f>C20+C9+C52+C46+C58+C33+C99</f>
        <v>20315.6</v>
      </c>
      <c r="D137" s="70">
        <f>D20+D9+D52+D46+D58+D33+D99</f>
        <v>8495.599999999999</v>
      </c>
      <c r="E137" s="6">
        <f>D137/D134*100</f>
        <v>3.639236032874608</v>
      </c>
      <c r="F137" s="6">
        <f t="shared" si="21"/>
        <v>89.75995266672298</v>
      </c>
      <c r="G137" s="6">
        <f t="shared" si="18"/>
        <v>41.81811022071708</v>
      </c>
      <c r="H137" s="6">
        <f t="shared" si="19"/>
        <v>969.2000000000025</v>
      </c>
      <c r="I137" s="20">
        <f t="shared" si="20"/>
        <v>11820</v>
      </c>
      <c r="K137" s="49"/>
      <c r="L137" s="50"/>
    </row>
    <row r="138" spans="1:12" ht="21" customHeight="1">
      <c r="A138" s="25" t="s">
        <v>15</v>
      </c>
      <c r="B138" s="70">
        <f>B11+B22+B100+B60+B36+B90</f>
        <v>3787.2</v>
      </c>
      <c r="C138" s="70">
        <f>C11+C22+C100+C60+C36+C90</f>
        <v>8036.400000000001</v>
      </c>
      <c r="D138" s="70">
        <f>D11+D22+D100+D60+D36+D90</f>
        <v>2841.3000000000006</v>
      </c>
      <c r="E138" s="6">
        <f>D138/D134*100</f>
        <v>1.217119607821299</v>
      </c>
      <c r="F138" s="6">
        <f t="shared" si="21"/>
        <v>75.02376425855516</v>
      </c>
      <c r="G138" s="6">
        <f t="shared" si="18"/>
        <v>35.35538300731672</v>
      </c>
      <c r="H138" s="6">
        <f t="shared" si="19"/>
        <v>945.8999999999992</v>
      </c>
      <c r="I138" s="20">
        <f t="shared" si="20"/>
        <v>5195.1</v>
      </c>
      <c r="K138" s="49"/>
      <c r="L138" s="106"/>
    </row>
    <row r="139" spans="1:12" ht="18.75">
      <c r="A139" s="25" t="s">
        <v>2</v>
      </c>
      <c r="B139" s="70">
        <f>B8+B19+B45+B51</f>
        <v>3509</v>
      </c>
      <c r="C139" s="70">
        <f>C8+C19+C45+C51</f>
        <v>7873.900000000001</v>
      </c>
      <c r="D139" s="70">
        <f>D8+D19+D45+D51</f>
        <v>1671.9999999999998</v>
      </c>
      <c r="E139" s="6">
        <f>D139/D134*100</f>
        <v>0.7162298892328198</v>
      </c>
      <c r="F139" s="6">
        <f t="shared" si="21"/>
        <v>47.64890282131661</v>
      </c>
      <c r="G139" s="6">
        <f t="shared" si="18"/>
        <v>21.234712150268606</v>
      </c>
      <c r="H139" s="6">
        <f t="shared" si="19"/>
        <v>1837.0000000000002</v>
      </c>
      <c r="I139" s="20">
        <f t="shared" si="20"/>
        <v>6201.900000000001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47261.69999999995</v>
      </c>
      <c r="C140" s="70">
        <f>C134-C135-C136-C137-C138-C139</f>
        <v>92752.40000000002</v>
      </c>
      <c r="D140" s="70">
        <f>D134-D135-D136-D137-D138-D139</f>
        <v>30182.000000000084</v>
      </c>
      <c r="E140" s="6">
        <f>D140/D134*100</f>
        <v>12.928977581833154</v>
      </c>
      <c r="F140" s="6">
        <f t="shared" si="21"/>
        <v>63.86143536944316</v>
      </c>
      <c r="G140" s="46">
        <f t="shared" si="18"/>
        <v>32.54039787649708</v>
      </c>
      <c r="H140" s="6">
        <f t="shared" si="19"/>
        <v>17079.69999999987</v>
      </c>
      <c r="I140" s="6">
        <f t="shared" si="20"/>
        <v>62570.399999999936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1880+1018.6+12561.6-300</f>
        <v>15160.2</v>
      </c>
      <c r="C142" s="77">
        <v>77971.6</v>
      </c>
      <c r="D142" s="77">
        <f>1285.7+343.1+251.2+535+4</f>
        <v>2419</v>
      </c>
      <c r="E142" s="16"/>
      <c r="F142" s="6">
        <f t="shared" si="21"/>
        <v>15.956253875278689</v>
      </c>
      <c r="G142" s="6">
        <f aca="true" t="shared" si="22" ref="G142:G151">D142/C142*100</f>
        <v>3.102411647317741</v>
      </c>
      <c r="H142" s="6">
        <f>B142-D142</f>
        <v>12741.2</v>
      </c>
      <c r="I142" s="6">
        <f aca="true" t="shared" si="23" ref="I142:I151">C142-D142</f>
        <v>75552.6</v>
      </c>
      <c r="J142" s="109"/>
      <c r="K142" s="49"/>
      <c r="L142" s="49"/>
    </row>
    <row r="143" spans="1:12" ht="18.75">
      <c r="A143" s="25" t="s">
        <v>22</v>
      </c>
      <c r="B143" s="92">
        <f>65+10767.3+300</f>
        <v>11132.3</v>
      </c>
      <c r="C143" s="70">
        <f>23644.2-130</f>
        <v>23514.2</v>
      </c>
      <c r="D143" s="70">
        <f>2921.3+155.4</f>
        <v>3076.7000000000003</v>
      </c>
      <c r="E143" s="6"/>
      <c r="F143" s="6">
        <f t="shared" si="21"/>
        <v>27.63759510613261</v>
      </c>
      <c r="G143" s="6">
        <f t="shared" si="22"/>
        <v>13.084434086637012</v>
      </c>
      <c r="H143" s="6">
        <f aca="true" t="shared" si="24" ref="H143:H150">B143-D143</f>
        <v>8055.5999999999985</v>
      </c>
      <c r="I143" s="6">
        <f t="shared" si="23"/>
        <v>20437.5</v>
      </c>
      <c r="K143" s="49"/>
      <c r="L143" s="49"/>
    </row>
    <row r="144" spans="1:12" ht="18.75">
      <c r="A144" s="25" t="s">
        <v>63</v>
      </c>
      <c r="B144" s="92">
        <f>12701.5+8595.2-5500+5086.9+1643+100</f>
        <v>22626.6</v>
      </c>
      <c r="C144" s="70">
        <f>109130.7-6200+130</f>
        <v>103060.7</v>
      </c>
      <c r="D144" s="70">
        <f>6096.5+112.1+30.9+1603.7+825.7-185.6+11.1+170.9+380.2+5.4+65.1+200.4+74.5+498.5</f>
        <v>9889.4</v>
      </c>
      <c r="E144" s="6"/>
      <c r="F144" s="6">
        <f t="shared" si="21"/>
        <v>43.70696436937057</v>
      </c>
      <c r="G144" s="6">
        <f t="shared" si="22"/>
        <v>9.595704279128707</v>
      </c>
      <c r="H144" s="6">
        <f t="shared" si="24"/>
        <v>12737.199999999999</v>
      </c>
      <c r="I144" s="6">
        <f t="shared" si="23"/>
        <v>93171.3</v>
      </c>
      <c r="K144" s="49"/>
      <c r="L144" s="49"/>
    </row>
    <row r="145" spans="1:12" ht="37.5">
      <c r="A145" s="25" t="s">
        <v>72</v>
      </c>
      <c r="B145" s="92">
        <v>5500</v>
      </c>
      <c r="C145" s="70">
        <v>6200</v>
      </c>
      <c r="D145" s="70">
        <v>5500</v>
      </c>
      <c r="E145" s="6"/>
      <c r="F145" s="6">
        <f t="shared" si="21"/>
        <v>100</v>
      </c>
      <c r="G145" s="6">
        <f t="shared" si="22"/>
        <v>88.70967741935483</v>
      </c>
      <c r="H145" s="6">
        <f t="shared" si="24"/>
        <v>0</v>
      </c>
      <c r="I145" s="6">
        <f t="shared" si="23"/>
        <v>700</v>
      </c>
      <c r="K145" s="49"/>
      <c r="L145" s="49"/>
    </row>
    <row r="146" spans="1:12" ht="18.75">
      <c r="A146" s="25" t="s">
        <v>13</v>
      </c>
      <c r="B146" s="92">
        <v>6612.9</v>
      </c>
      <c r="C146" s="70">
        <f>8750.7+10716.7</f>
        <v>19467.4</v>
      </c>
      <c r="D146" s="70">
        <f>1079.6+99+23+18.9+98+142.5+46.8+99.4+162.7+67+248.3</f>
        <v>2085.2000000000003</v>
      </c>
      <c r="E146" s="21"/>
      <c r="F146" s="6">
        <f t="shared" si="21"/>
        <v>31.532308064540526</v>
      </c>
      <c r="G146" s="6">
        <f t="shared" si="22"/>
        <v>10.71124032998757</v>
      </c>
      <c r="H146" s="6">
        <f t="shared" si="24"/>
        <v>4527.699999999999</v>
      </c>
      <c r="I146" s="6">
        <f t="shared" si="23"/>
        <v>17382.2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588.9</v>
      </c>
      <c r="C148" s="70">
        <f>790+361.2</f>
        <v>1151.2</v>
      </c>
      <c r="D148" s="70">
        <f>371+201.4</f>
        <v>572.4</v>
      </c>
      <c r="E148" s="21"/>
      <c r="F148" s="6">
        <f>D148/B148*100</f>
        <v>97.19816607233825</v>
      </c>
      <c r="G148" s="6">
        <f t="shared" si="22"/>
        <v>49.722029186935366</v>
      </c>
      <c r="H148" s="6">
        <f t="shared" si="24"/>
        <v>16.5</v>
      </c>
      <c r="I148" s="6">
        <f t="shared" si="23"/>
        <v>578.8000000000001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f>1132.6+105.1+349.5+3417.7</f>
        <v>5004.9</v>
      </c>
      <c r="C150" s="93">
        <f>3939.6+4926.7</f>
        <v>8866.3</v>
      </c>
      <c r="D150" s="93">
        <f>95.1+9.9+65+49.9</f>
        <v>219.9</v>
      </c>
      <c r="E150" s="26"/>
      <c r="F150" s="6">
        <f>D150/B150*100</f>
        <v>4.393694179703891</v>
      </c>
      <c r="G150" s="6">
        <f t="shared" si="22"/>
        <v>2.4801777517115373</v>
      </c>
      <c r="H150" s="6">
        <f t="shared" si="24"/>
        <v>4785</v>
      </c>
      <c r="I150" s="6">
        <f t="shared" si="23"/>
        <v>8646.4</v>
      </c>
    </row>
    <row r="151" spans="1:9" ht="19.5" thickBot="1">
      <c r="A151" s="15" t="s">
        <v>20</v>
      </c>
      <c r="B151" s="94">
        <f>B134+B142+B146+B147+B143+B150+B149+B144+B148+B145</f>
        <v>374587.69999999995</v>
      </c>
      <c r="C151" s="94">
        <f>C134+C142+C146+C147+C143+C150+C149+C144+C148+C145</f>
        <v>866336.9999999999</v>
      </c>
      <c r="D151" s="94">
        <f>D134+D142+D146+D147+D143+D150+D149+D144+D148+D145</f>
        <v>258325.50000000006</v>
      </c>
      <c r="E151" s="27"/>
      <c r="F151" s="3">
        <f>D151/B151*100</f>
        <v>68.96262210424958</v>
      </c>
      <c r="G151" s="3">
        <f t="shared" si="22"/>
        <v>29.818130819761834</v>
      </c>
      <c r="H151" s="3">
        <f>B151-D151</f>
        <v>116262.1999999999</v>
      </c>
      <c r="I151" s="3">
        <f t="shared" si="23"/>
        <v>608011.4999999998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32" sqref="Q3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233444.60000000006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9" sqref="N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9" sqref="Q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8" sqref="R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6" sqref="Q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8" sqref="Q2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6" sqref="R2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233444.60000000006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2014-05-05T07:03:12Z</cp:lastPrinted>
  <dcterms:created xsi:type="dcterms:W3CDTF">2000-06-20T04:48:00Z</dcterms:created>
  <dcterms:modified xsi:type="dcterms:W3CDTF">2014-05-26T05:02:35Z</dcterms:modified>
  <cp:category/>
  <cp:version/>
  <cp:contentType/>
  <cp:contentStatus/>
</cp:coreProperties>
</file>